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USB-C-HD/Data1/2018TMDU保健衛生学科/Web/Mostgraph/"/>
    </mc:Choice>
  </mc:AlternateContent>
  <bookViews>
    <workbookView xWindow="6360" yWindow="1660" windowWidth="18760" windowHeight="19300" tabRatio="500"/>
  </bookViews>
  <sheets>
    <sheet name="Sheet1" sheetId="1" r:id="rId1"/>
    <sheet name="Sheet2" sheetId="2" r:id="rId2"/>
  </sheets>
  <definedNames>
    <definedName name="Gender">Sheet2!$A$1:$A$2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C19" i="1"/>
  <c r="D19" i="1"/>
  <c r="D26" i="1"/>
  <c r="C26" i="1"/>
  <c r="B26" i="1"/>
  <c r="D9" i="1"/>
  <c r="C9" i="1"/>
  <c r="C30" i="1"/>
  <c r="D30" i="1"/>
  <c r="D37" i="1"/>
  <c r="C36" i="1"/>
  <c r="C35" i="1"/>
  <c r="C34" i="1"/>
  <c r="D32" i="1"/>
  <c r="D31" i="1"/>
  <c r="C29" i="1"/>
  <c r="D27" i="1"/>
  <c r="D25" i="1"/>
  <c r="D24" i="1"/>
  <c r="C22" i="1"/>
  <c r="D21" i="1"/>
  <c r="D20" i="1"/>
  <c r="C17" i="1"/>
  <c r="C16" i="1"/>
  <c r="C15" i="1"/>
  <c r="C14" i="1"/>
  <c r="C12" i="1"/>
  <c r="C11" i="1"/>
  <c r="D10" i="1"/>
  <c r="C10" i="1"/>
  <c r="D17" i="1"/>
  <c r="D12" i="1"/>
  <c r="D36" i="1"/>
  <c r="D34" i="1"/>
  <c r="D22" i="1"/>
  <c r="D16" i="1"/>
  <c r="D15" i="1"/>
  <c r="D14" i="1"/>
  <c r="D11" i="1"/>
  <c r="D35" i="1"/>
  <c r="D29" i="1"/>
  <c r="C37" i="1"/>
  <c r="C32" i="1"/>
  <c r="C31" i="1"/>
  <c r="C27" i="1"/>
  <c r="C25" i="1"/>
  <c r="C24" i="1"/>
  <c r="C21" i="1"/>
  <c r="C20" i="1"/>
  <c r="B9" i="1"/>
  <c r="B37" i="1"/>
  <c r="B36" i="1"/>
  <c r="B35" i="1"/>
  <c r="B34" i="1"/>
  <c r="B32" i="1"/>
  <c r="B31" i="1"/>
  <c r="B30" i="1"/>
  <c r="B29" i="1"/>
  <c r="B27" i="1"/>
  <c r="B25" i="1"/>
  <c r="B24" i="1"/>
  <c r="B22" i="1"/>
  <c r="B21" i="1"/>
  <c r="B20" i="1"/>
  <c r="B17" i="1"/>
  <c r="B16" i="1"/>
  <c r="B15" i="1"/>
  <c r="B14" i="1"/>
  <c r="B12" i="1"/>
  <c r="B11" i="1"/>
  <c r="B10" i="1"/>
</calcChain>
</file>

<file path=xl/sharedStrings.xml><?xml version="1.0" encoding="utf-8"?>
<sst xmlns="http://schemas.openxmlformats.org/spreadsheetml/2006/main" count="50" uniqueCount="35">
  <si>
    <t>Predictive values of MostGraph Calculater</t>
    <phoneticPr fontId="1"/>
  </si>
  <si>
    <t>Height (cm)</t>
    <phoneticPr fontId="1"/>
  </si>
  <si>
    <t>Age (year)</t>
    <phoneticPr fontId="1"/>
  </si>
  <si>
    <t>Male</t>
    <phoneticPr fontId="1"/>
  </si>
  <si>
    <t>Female</t>
    <phoneticPr fontId="1"/>
  </si>
  <si>
    <t>R5</t>
    <phoneticPr fontId="1"/>
  </si>
  <si>
    <t>expected</t>
    <phoneticPr fontId="1"/>
  </si>
  <si>
    <t>lower limit</t>
    <phoneticPr fontId="1"/>
  </si>
  <si>
    <t>upper limit</t>
    <phoneticPr fontId="1"/>
  </si>
  <si>
    <t>R5 Inhale</t>
    <phoneticPr fontId="1"/>
  </si>
  <si>
    <t>R5 Exhale</t>
    <phoneticPr fontId="1"/>
  </si>
  <si>
    <t>R5 Exhale-Inhale</t>
    <phoneticPr fontId="1"/>
  </si>
  <si>
    <t>R20</t>
    <phoneticPr fontId="1"/>
  </si>
  <si>
    <t>R20 Exhale</t>
    <phoneticPr fontId="1"/>
  </si>
  <si>
    <t>R20 Inhale</t>
    <phoneticPr fontId="1"/>
  </si>
  <si>
    <t>R20 Exhale-Inhale</t>
    <phoneticPr fontId="1"/>
  </si>
  <si>
    <t>R5-R20</t>
    <phoneticPr fontId="1"/>
  </si>
  <si>
    <t>R5-R20 Exhale</t>
    <phoneticPr fontId="1"/>
  </si>
  <si>
    <t>R5-R20 Inhale</t>
    <phoneticPr fontId="1"/>
  </si>
  <si>
    <t>R5-R20 Exhale-Inhale</t>
    <phoneticPr fontId="1"/>
  </si>
  <si>
    <t>X5</t>
    <phoneticPr fontId="1"/>
  </si>
  <si>
    <t>X5 Exhale-Inhale</t>
    <phoneticPr fontId="1"/>
  </si>
  <si>
    <t>X5 Inhale</t>
    <phoneticPr fontId="1"/>
  </si>
  <si>
    <t>X5 Exhale</t>
    <phoneticPr fontId="1"/>
  </si>
  <si>
    <t>Fres</t>
    <phoneticPr fontId="1"/>
  </si>
  <si>
    <t>Fres Exhale</t>
    <phoneticPr fontId="1"/>
  </si>
  <si>
    <t>Fres Inhale</t>
    <phoneticPr fontId="1"/>
  </si>
  <si>
    <t>Fres Exhale-Inhale</t>
    <phoneticPr fontId="1"/>
  </si>
  <si>
    <t>ALX</t>
    <phoneticPr fontId="1"/>
  </si>
  <si>
    <t>ALX Exhale</t>
    <phoneticPr fontId="1"/>
  </si>
  <si>
    <t>ALX Inhale</t>
    <phoneticPr fontId="1"/>
  </si>
  <si>
    <t>ALX Exhale-Inhale</t>
    <phoneticPr fontId="1"/>
  </si>
  <si>
    <t>Input Gender, Age, Height, Weight</t>
    <phoneticPr fontId="1"/>
  </si>
  <si>
    <t>Gender (Male / Female)</t>
    <phoneticPr fontId="1"/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</si>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</sst>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176" fontId="4" fillId="0" borderId="0" xfId="0" applyNumberFormat="1" applyFont="1"/>
    <xf numFmtId="176" fontId="5" fillId="4" borderId="0" xfId="0" applyNumberFormat="1" applyFont="1" applyFill="1"/>
    <xf numFmtId="0" fontId="6" fillId="4" borderId="0" xfId="0" applyFont="1" applyFill="1"/>
    <xf numFmtId="0" fontId="5" fillId="0" borderId="0" xfId="0" applyFont="1"/>
    <xf numFmtId="176" fontId="5" fillId="3" borderId="1" xfId="0" applyNumberFormat="1" applyFont="1" applyFill="1" applyBorder="1"/>
    <xf numFmtId="176" fontId="4" fillId="0" borderId="2" xfId="0" applyNumberFormat="1" applyFont="1" applyBorder="1"/>
    <xf numFmtId="0" fontId="4" fillId="0" borderId="2" xfId="0" applyFont="1" applyBorder="1"/>
    <xf numFmtId="176" fontId="4" fillId="2" borderId="2" xfId="0" applyNumberFormat="1" applyFont="1" applyFill="1" applyBorder="1"/>
    <xf numFmtId="176" fontId="5" fillId="3" borderId="1" xfId="0" applyNumberFormat="1" applyFont="1" applyFill="1" applyBorder="1" applyAlignment="1">
      <alignment horizontal="center"/>
    </xf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5" sqref="B5"/>
    </sheetView>
  </sheetViews>
  <sheetFormatPr baseColWidth="12" defaultRowHeight="16" x14ac:dyDescent="0.2"/>
  <cols>
    <col min="1" max="1" width="20.140625" style="1" customWidth="1"/>
    <col min="2" max="2" width="16.140625" style="2" customWidth="1"/>
    <col min="3" max="4" width="9.7109375" style="2" customWidth="1"/>
    <col min="5" max="16384" width="12.7109375" style="1"/>
  </cols>
  <sheetData>
    <row r="1" spans="1:6" ht="22" customHeight="1" x14ac:dyDescent="0.2">
      <c r="A1" s="1" t="s">
        <v>0</v>
      </c>
      <c r="D1" s="3" t="s">
        <v>32</v>
      </c>
      <c r="E1" s="4"/>
      <c r="F1" s="4"/>
    </row>
    <row r="2" spans="1:6" ht="17" thickBot="1" x14ac:dyDescent="0.25"/>
    <row r="3" spans="1:6" ht="17" thickBot="1" x14ac:dyDescent="0.25">
      <c r="A3" s="5" t="s">
        <v>33</v>
      </c>
      <c r="B3" s="10" t="s">
        <v>34</v>
      </c>
    </row>
    <row r="4" spans="1:6" ht="17" thickBot="1" x14ac:dyDescent="0.25">
      <c r="A4" s="5" t="s">
        <v>2</v>
      </c>
      <c r="B4" s="6"/>
    </row>
    <row r="5" spans="1:6" ht="17" thickBot="1" x14ac:dyDescent="0.25">
      <c r="A5" s="5" t="s">
        <v>1</v>
      </c>
      <c r="B5" s="6"/>
    </row>
    <row r="6" spans="1:6" ht="20" x14ac:dyDescent="0.3">
      <c r="A6"/>
      <c r="B6"/>
    </row>
    <row r="8" spans="1:6" x14ac:dyDescent="0.2">
      <c r="B8" s="7" t="s">
        <v>6</v>
      </c>
      <c r="C8" s="7" t="s">
        <v>7</v>
      </c>
      <c r="D8" s="7" t="s">
        <v>8</v>
      </c>
    </row>
    <row r="9" spans="1:6" x14ac:dyDescent="0.2">
      <c r="A9" s="8" t="s">
        <v>5</v>
      </c>
      <c r="B9" s="9">
        <f xml:space="preserve"> IF($B$3="Male", ((0.490302 + 0.001728*$B$4 + 0.001707*$B$5) ^ -3.125), ((0.8193 - 0.006726*$B$4 + 0.006961*$B$5) ^ 1.639))</f>
        <v>9.2747251301766944</v>
      </c>
      <c r="C9" s="9">
        <f xml:space="preserve"> IF($B$3="Male", ((0.490302 + 0.001728*$B$4 + 0.001707*$B$5 + 0.19039953) ^ -3.125), ((0.8193 - 0.006726*$B$4 + 0.006961*$B$5 - 0.61689) ^ 1.639))</f>
        <v>3.3266738846561439</v>
      </c>
      <c r="D9" s="9">
        <f xml:space="preserve"> IF($B$3="Male", ((0.490302 + 0.001728*$B$4 + 0.001707*$B$5 - 0.19039953) ^ -3.125), ((0.8193 - 0.006726*$B$4 + 0.006961*$B$5 + 0.61689) ^ 1.639))</f>
        <v>43.096040114497661</v>
      </c>
    </row>
    <row r="10" spans="1:6" x14ac:dyDescent="0.2">
      <c r="A10" s="8" t="s">
        <v>10</v>
      </c>
      <c r="B10" s="9">
        <f>IF($B$3="Male",((0.345759+0.001969*$B$4+0.002145*$B$5)^-2.5), ((0.750056 - 0.004274*$B$4 + 0.005399*$B$5) ^ 2.564))</f>
        <v>14.225458280064883</v>
      </c>
      <c r="C10" s="9">
        <f>IF($B$3="Male",((0.345759+0.001969*$B$4+0.002145*$B$5 +  0.235293527)^-2.5), ((0.750056 - 0.004274*$B$4 + 0.005399*$B$5 - 0.3985) ^ 2.564))</f>
        <v>3.8856306330218984</v>
      </c>
      <c r="D10" s="9">
        <f>IF($B$3="Male",((0.345759+0.001969*$B$4+0.002145*$B$5 - 0.235293527)^-2.5), ((0.750056 - 0.004274*$B$4 + 0.005399*$B$5 + 0.3985) ^ 2.564))</f>
        <v>246.56623789918478</v>
      </c>
    </row>
    <row r="11" spans="1:6" x14ac:dyDescent="0.2">
      <c r="A11" s="8" t="s">
        <v>9</v>
      </c>
      <c r="B11" s="9">
        <f>IF($B$3="Male",((0.6450259+0.0013532*$B$4+0.0012345*$B$5)^-4.16667), ((1.2045 - 0.002265*$B$4 + 0.0007862*$B$5) ^ 3.125))</f>
        <v>6.214828694550687</v>
      </c>
      <c r="C11" s="9">
        <f>IF($B$3="Male",((0.6450259+0.0013532*$B$4+0.0012345*$B$5 +0.15555171)^-4.16667), ((1.2045 - 0.002265*$B$4 + 0.0007862*$B$5-0.22828) ^ 3.125))</f>
        <v>2.5263062069585085</v>
      </c>
      <c r="D11" s="9">
        <f>IF($B$3="Male",((0.6450259+0.0013532*$B$4+0.0012345*$B$5 -0.15555171)^-4.16667), ((1.2045 - 0.002265*$B$4 + 0.0007862*$B$5+0.22828) ^ 3.125))</f>
        <v>19.624271756978228</v>
      </c>
    </row>
    <row r="12" spans="1:6" x14ac:dyDescent="0.2">
      <c r="A12" s="8" t="s">
        <v>11</v>
      </c>
      <c r="B12" s="9">
        <f>IF($B$3="Male",((0.958409-0.001731*$B$4+0.002243*$B$5)^-1.31579-1), ((1.1324922 + 0.000739*$B$4 - 0.001458*$B$5) ^ -5.556  -1))</f>
        <v>5.7487306921931047E-2</v>
      </c>
      <c r="C12" s="9">
        <f>IF($B$3="Male",((0.958409-0.001731*$B$4+0.002243*$B$5+0.710675687)^-1.31579-1), ((1.1324922 + 0.000739*$B$4 - 0.001458*$B$5+0.12445) ^ -5.556  -1))</f>
        <v>-0.4903580345055284</v>
      </c>
      <c r="D12" s="9">
        <f>IF($B$3="Male",((0.958409-0.001731*$B$4+0.002243*$B$5-0.710675687)^-1.31579-1), ((1.1324922 + 0.000739*$B$4 - 0.001458*$B$5-0.12445) ^ -5.556  -1))</f>
        <v>5.2717574208351543</v>
      </c>
    </row>
    <row r="13" spans="1:6" x14ac:dyDescent="0.2">
      <c r="B13" s="7" t="s">
        <v>6</v>
      </c>
      <c r="C13" s="7" t="s">
        <v>7</v>
      </c>
      <c r="D13" s="7" t="s">
        <v>8</v>
      </c>
    </row>
    <row r="14" spans="1:6" x14ac:dyDescent="0.2">
      <c r="A14" s="8" t="s">
        <v>12</v>
      </c>
      <c r="B14" s="9">
        <f>IF($B$3="Male",((0.274192+0.003232*$B$4+0.002036*$B$5)^-1.88679), ((0.712986 - 0.006219*$B$4 + 0.006576*$B$5) ^ 2.041))</f>
        <v>11.488745864986161</v>
      </c>
      <c r="C14" s="9">
        <f>IF($B$3="Male",((0.274192+0.003232*$B$4+0.002036*$B$5+0.238678427)^-1.88679), ((0.712986 - 0.006219*$B$4 + 0.006576*$B$5-0.38799) ^ 2.041))</f>
        <v>3.5249637218874463</v>
      </c>
      <c r="D14" s="9">
        <f>IF($B$3="Male",((0.274192+0.003232*$B$4+0.002036*$B$5-0.238678427)^-1.88679), ((0.712986 - 0.006219*$B$4 + 0.006576*$B$5+0.38799) ^ 2.041))</f>
        <v>543.3771971043434</v>
      </c>
    </row>
    <row r="15" spans="1:6" x14ac:dyDescent="0.2">
      <c r="A15" s="8" t="s">
        <v>13</v>
      </c>
      <c r="B15" s="9">
        <f>IF($B$3="Male",((0.075334+0.003364*$B$4+0.002945*$B$5)^-1.75439), ((0.87482 - 0.004552*$B$4 + 0.004456*$B$5) ^ 2.703))</f>
        <v>93.367495816031763</v>
      </c>
      <c r="C15" s="9">
        <f>IF($B$3="Male",((0.075334+0.003364*$B$4+0.002945*$B$5+0.259220573)^-1.75439), ((0.87482 - 0.004552*$B$4 + 0.004456*$B$5-0.30675) ^ 2.703))</f>
        <v>6.8276365004292145</v>
      </c>
      <c r="D15" s="9" t="e">
        <f>IF($B$3="Male",((0.075334+0.003364*$B$4+0.002945*$B$5-0.259220573)^-1.75439), ((0.87482 - 0.004552*$B$4 + 0.004456*$B$5+0.30675) ^ 2.703))</f>
        <v>#NUM!</v>
      </c>
    </row>
    <row r="16" spans="1:6" x14ac:dyDescent="0.2">
      <c r="A16" s="8" t="s">
        <v>14</v>
      </c>
      <c r="B16" s="9">
        <f>IF($B$3="Male",((0.6036972+0.002434*$B$4+0.0008095*$B$5)^-2.7027), ((0.8780831 - 0.002516*$B$4 + 0.0027386*$B$5) ^ 3.846))</f>
        <v>3.9118307120680433</v>
      </c>
      <c r="C16" s="9">
        <f>IF($B$3="Male",((0.6036972+0.002434*$B$4+0.0008095*$B$5+0.19006593)^-2.7027), ((0.8780831 - 0.002516*$B$4 + 0.0027386*$B$5-0.15628) ^ 3.846))</f>
        <v>1.8668324635557305</v>
      </c>
      <c r="D16" s="9">
        <f>IF($B$3="Male",((0.6036972+0.002434*$B$4+0.0008095*$B$5-0.19006593)^-2.7027), ((0.8780831 - 0.002516*$B$4 + 0.0027386*$B$5+0.15628) ^ 3.846))</f>
        <v>10.868736568058202</v>
      </c>
    </row>
    <row r="17" spans="1:4" x14ac:dyDescent="0.2">
      <c r="A17" s="8" t="s">
        <v>15</v>
      </c>
      <c r="B17" s="9" t="e">
        <f>IF($B$3="Male",((-0.575575+0.002041*$B$4+0.007589*$B$5)^-0.63291-1), ((0.7949128  + 0.001197*$B$4 + 0.0001551*$B$5) ^ -1.961  -1))</f>
        <v>#NUM!</v>
      </c>
      <c r="C17" s="9" t="e">
        <f>IF($B$3="Male",((-0.575575+0.002041*$B$4+0.007589*$B$5+0.562929465)^-0.63291-1), ((0.7949128  + 0.001197*$B$4 + 0.0001551*$B$5+0.25289) ^ -1.961  -1))</f>
        <v>#NUM!</v>
      </c>
      <c r="D17" s="9" t="e">
        <f>IF($B$3="Male",((-0.575575+0.002041*$B$4+0.007589*$B$5-0.562929465)^-0.63291-1), ((0.7949128  + 0.001197*$B$4 + 0.0001551*$B$5-0.25289) ^ -1.961  -1))</f>
        <v>#NUM!</v>
      </c>
    </row>
    <row r="18" spans="1:4" x14ac:dyDescent="0.2">
      <c r="B18" s="7" t="s">
        <v>6</v>
      </c>
      <c r="C18" s="7" t="s">
        <v>7</v>
      </c>
      <c r="D18" s="7" t="s">
        <v>8</v>
      </c>
    </row>
    <row r="19" spans="1:4" x14ac:dyDescent="0.2">
      <c r="A19" s="8" t="s">
        <v>16</v>
      </c>
      <c r="B19" s="9">
        <f>IF($B$3="Male",((0.6602478+0.0034638*$B$4+0.0009069*$B$5)^1.72414-1), ((2.413158 + 0.003809*$B$4 -  0.004902*$B$5) ^ 1.163  -2))</f>
        <v>-0.51117932905145724</v>
      </c>
      <c r="C19" s="9">
        <f>IF($B$3="Male",((0.6602478+0.0034638*$B$4+0.0009069*$B$5-0.287379187)^1.72414-1), ((2.413158 + 0.003809*$B$4 -  0.004902*$B$5-0.59213) ^ 1.163  -2))</f>
        <v>-0.81748344452846611</v>
      </c>
      <c r="D19" s="9">
        <f>IF($B$3="Male",((0.6602478+0.0034638*$B$4+0.0009069*$B$5+0.287379187)^1.72414-1), ((2.413158 + 0.003809*$B$4 -  0.004902*$B$5+0.59213) ^ 1.163  -2))</f>
        <v>-8.8577717964514857E-2</v>
      </c>
    </row>
    <row r="20" spans="1:4" x14ac:dyDescent="0.2">
      <c r="A20" s="8" t="s">
        <v>17</v>
      </c>
      <c r="B20" s="9">
        <f>IF($B$3="Male",((0.380725+0.003158*$B$4+0.002801*$B$5)^2.22222-1), ((0.8203966+0.00222*$B$4+0.0008211*$B$5) ^ 1.299  -1))</f>
        <v>-0.88304299055752533</v>
      </c>
      <c r="C20" s="9">
        <f>IF($B$3="Male",((0.380725+0.003158*$B$4+0.002801*$B$5-0.261042546)^2.22222-1), ((0.8203966+0.00222*$B$4+0.0008211*$B$5-0.67098) ^ 1.299  -1))</f>
        <v>-0.99106322332115182</v>
      </c>
      <c r="D20" s="9">
        <f>IF($B$3="Male",((0.380725+0.003158*$B$4+0.002801*$B$5+0.261042546)^2.22222-1), ((0.8203966+0.00222*$B$4+0.0008211*$B$5+0.67098) ^ 1.299  -1))</f>
        <v>-0.62679196425955652</v>
      </c>
    </row>
    <row r="21" spans="1:4" x14ac:dyDescent="0.2">
      <c r="A21" s="8" t="s">
        <v>18</v>
      </c>
      <c r="B21" s="9">
        <f>IF($B$3="Male",((1.143712+0.002734*$B$4-0.001925*$B$5)^1.85185-1), ((4.349564+0.008216*$B$4- 0.016527*$B$5) ^ 0.87  -2))</f>
        <v>0.28231209849120464</v>
      </c>
      <c r="C21" s="9">
        <f>IF($B$3="Male",((1.143712+0.002734*$B$4-0.001925*$B$5-0.24472137)^1.85185-1), ((4.349564+0.008216*$B$4- 0.016527*$B$5-0.89626) ^ 0.87  -2))</f>
        <v>-0.1789653184456238</v>
      </c>
      <c r="D21" s="9">
        <f>IF($B$3="Male",((1.143712+0.002734*$B$4-0.001925*$B$5+0.24472137)^1.85185-1), ((4.349564+0.008216*$B$4- 0.016527*$B$5+0.89626) ^ 0.87  -2))</f>
        <v>0.83626349719331206</v>
      </c>
    </row>
    <row r="22" spans="1:4" x14ac:dyDescent="0.2">
      <c r="A22" s="8" t="s">
        <v>19</v>
      </c>
      <c r="B22" s="9">
        <f>IF($B$3="Male",((2.428073-0.002625*$B$4-0.008267*$B$5)^-0.86957-1), ((1.859371+0.001197*$B$4-0.006243*$B$5) ^ -1.818  -1))</f>
        <v>-0.53763180873449201</v>
      </c>
      <c r="C22" s="9">
        <f>IF($B$3="Male",((2.428073-0.002625*$B$4-0.008267*$B$5+0.287891773)^-0.86957-1), ((1.859371+0.001197*$B$4-0.006243*$B$5+0.19825) ^ -1.818  -1))</f>
        <v>-0.58055734673083959</v>
      </c>
      <c r="D22" s="9">
        <f>IF($B$3="Male",((2.428073-0.002625*$B$4-0.008267*$B$5-0.287891773)^-0.86957-1), ((1.859371+0.001197*$B$4-0.006243*$B$5-0.19825) ^ -1.818  -1))</f>
        <v>-0.48399950882803178</v>
      </c>
    </row>
    <row r="23" spans="1:4" x14ac:dyDescent="0.2">
      <c r="B23" s="7" t="s">
        <v>6</v>
      </c>
      <c r="C23" s="7" t="s">
        <v>7</v>
      </c>
      <c r="D23" s="7" t="s">
        <v>8</v>
      </c>
    </row>
    <row r="24" spans="1:4" x14ac:dyDescent="0.2">
      <c r="A24" s="8" t="s">
        <v>20</v>
      </c>
      <c r="B24" s="9">
        <f>IF($B$3="Male",((1.006967-0.002752*$B$4-0.000526*$B$5-0.013582*$B$6)^0.60606-1), ((-3.98091+0.01765*$B$4 +0.0472*$B$5) ^ 0.391  -2))</f>
        <v>4.2166443149722621E-3</v>
      </c>
      <c r="C24" s="9">
        <f>IF($B$3="Male",((1.006967-0.002752*$B$4-0.000526*$B$5-0.013582*$B$6-0.470405884)^0.60606-1), ((-3.98091+0.01765*$B$4 +0.0472*$B$5-2.48925) ^ 0.391  -2))</f>
        <v>-0.31430179859289931</v>
      </c>
      <c r="D24" s="9">
        <f>IF($B$3="Male",((1.006967-0.002752*$B$4-0.000526*$B$5-0.013582*$B$6+0.470405884)^0.60606-1), ((-3.98091+0.01765*$B$4 +0.0472*$B$5+2.48925) ^ 0.391  -2))</f>
        <v>0.26683829858236519</v>
      </c>
    </row>
    <row r="25" spans="1:4" x14ac:dyDescent="0.2">
      <c r="A25" s="8" t="s">
        <v>23</v>
      </c>
      <c r="B25" s="9">
        <f>IF($B$3="Male",((1.487271-0.003606*$B$4-0.002844*$B$5)^0.54945-1), ((- 0.67464+0.02633*$B$4+0.03379*$B$5) ^ 0.341  -2))</f>
        <v>0.24371177426634838</v>
      </c>
      <c r="C25" s="9">
        <f>IF($B$3="Male",((1.487271-0.003606*$B$4-0.002844*$B$5-0.532497692)^0.54945-1), ((- 0.67464+0.02633*$B$4+0.03379*$B$5-3.95787) ^ 0.341  -2))</f>
        <v>-2.510868163241553E-2</v>
      </c>
      <c r="D25" s="9">
        <f>IF($B$3="Male",((1.487271-0.003606*$B$4-0.002844*$B$5+0.532497692)^0.54945-1), ((- 0.67464+0.02633*$B$4+0.03379*$B$5+3.95787) ^ 0.341  -2))</f>
        <v>0.47145838425956099</v>
      </c>
    </row>
    <row r="26" spans="1:4" x14ac:dyDescent="0.2">
      <c r="A26" s="8" t="s">
        <v>22</v>
      </c>
      <c r="B26" s="9">
        <f>IF($B$3="Male",((0.576499-0.001835*$B$4+0.001687*$B$5)^0.76336-1), (( -5.14777+0.01138*$B$4+ 0.05028*$B$5) ^0.446  - 2))</f>
        <v>-0.34324530300996992</v>
      </c>
      <c r="C26" s="9">
        <f>IF($B$3="Male",((0.576499-0.001835*$B$4+0.001687*$B$5-0.427927494)^0.76336-1), (( -5.14777+0.01138*$B$4+ 0.05028*$B$5-1.87511) ^0.446  - 2))</f>
        <v>-0.76671398591752382</v>
      </c>
      <c r="D26" s="9">
        <f>IF($B$3="Male",((0.576499-0.001835*$B$4+0.001687*$B$5+0.427927494)^0.76336-1), (( -5.14777+0.01138*$B$4+ 0.05028*$B$5+1.87511) ^0.446  - 2))</f>
        <v>3.3772419497770656E-3</v>
      </c>
    </row>
    <row r="27" spans="1:4" x14ac:dyDescent="0.2">
      <c r="A27" s="8" t="s">
        <v>21</v>
      </c>
      <c r="B27" s="9">
        <f>IF($B$3="Male",( (1.9386572 - 0.0008646*$B$4 -  0.0047699*$B$5) ^ 0.86207  -1), ((5.0220554+0.000153*$B$4-0.0234795*$B$5) ^ 0.437  -1) )</f>
        <v>0.76948141841452378</v>
      </c>
      <c r="C27" s="9">
        <f>IF($B$3="Male",( (1.9386572 - 0.0008646*$B$4 -  0.0047699*$B$5-0.266612338) ^ 0.86207  -1), ((5.0220554+0.000153*$B$4-0.0234795*$B$5-0.86516) ^ 0.437  -1) )</f>
        <v>0.55759785079693147</v>
      </c>
      <c r="D27" s="9">
        <f>IF($B$3="Male",( (1.9386572 - 0.0008646*$B$4 -  0.0047699*$B$5+0.266612338) ^ 0.86207  -1), ((5.0220554+0.000153*$B$4-0.0234795*$B$5+0.86516) ^ 0.437  -1) )</f>
        <v>0.97737031083322856</v>
      </c>
    </row>
    <row r="28" spans="1:4" x14ac:dyDescent="0.2">
      <c r="B28" s="7" t="s">
        <v>6</v>
      </c>
      <c r="C28" s="7" t="s">
        <v>7</v>
      </c>
      <c r="D28" s="7" t="s">
        <v>8</v>
      </c>
    </row>
    <row r="29" spans="1:4" x14ac:dyDescent="0.2">
      <c r="A29" s="8" t="s">
        <v>24</v>
      </c>
      <c r="B29" s="9">
        <f>IF($B$3="Male",((0.67196644-0.00033176*$B$4-0.00007758*$B$5)^-4), ((0.5900354+0.000253*$B$4 + 0.0008126*$B$5) ^ -5.882))</f>
        <v>4.904668569123559</v>
      </c>
      <c r="C29" s="9">
        <f>IF($B$3="Male",((0.67196644-0.00033176*$B$4-0.00007758*$B$5+0.0567913986)^-4), ((0.5900354+0.000253*$B$4 + 0.0008126*$B$5+0.04977) ^ -5.882))</f>
        <v>3.5454147205239965</v>
      </c>
      <c r="D29" s="9">
        <f>IF($B$3="Male",((0.67196644-0.00033176*$B$4-0.00007758*$B$5-0.0567913986)^-4), ((0.5900354+0.000253*$B$4 + 0.0008126*$B$5-0.04977) ^ -5.882))</f>
        <v>6.9824071836507668</v>
      </c>
    </row>
    <row r="30" spans="1:4" x14ac:dyDescent="0.2">
      <c r="A30" s="8" t="s">
        <v>25</v>
      </c>
      <c r="B30" s="9">
        <f>IF($B$3="Male",((0.3850098-0.0004594*$B$4-0.0003141*$B$5)^-1.47059), ((0.2666474+0.000511*$B$4+0.0006591*$B$5) ^ -1.923))</f>
        <v>4.0700622249554792</v>
      </c>
      <c r="C30" s="9">
        <f>IF($B$3="Male",((0.3850098-0.0004594*$B$4-0.0003141*$B$5+0.078562128)^-1.47059), ((0.2666474+0.000511*$B$4+0.0006591*$B$5+0.09488) ^ -1.923))</f>
        <v>3.097453613590992</v>
      </c>
      <c r="D30" s="9">
        <f>IF($B$3="Male",((0.3850098-0.0004594*$B$4-0.0003141*$B$5-0.078562128)^-1.47059), ((0.2666474+0.000511*$B$4+0.0006591*$B$5-0.09488) ^ -1.923))</f>
        <v>5.693236825536629</v>
      </c>
    </row>
    <row r="31" spans="1:4" x14ac:dyDescent="0.2">
      <c r="A31" s="8" t="s">
        <v>26</v>
      </c>
      <c r="B31" s="9">
        <f>IF($B$3="Male",((1.4366129+0.0004845*$B$4-0.0003008*$B$5)^5.26316), ((1.501341-0.000205*$B$4-0.0014934*$B$5)^8.333) )</f>
        <v>6.7313836096681534</v>
      </c>
      <c r="C31" s="9">
        <f>IF($B$3="Male",((1.4366129+0.0004845*$B$4-0.0003008*$B$5-0.101453142)^5.26316), ((1.501341-0.000205*$B$4-0.0014934*$B$5-0.05798)^8.333) )</f>
        <v>4.578271004801449</v>
      </c>
      <c r="D31" s="9">
        <f>IF($B$3="Male",((1.4366129+0.0004845*$B$4-0.0003008*$B$5+0.101453142)^5.26316), ((1.501341-0.000205*$B$4-0.0014934*$B$5+0.05798)^8.333) )</f>
        <v>9.6400493120575792</v>
      </c>
    </row>
    <row r="32" spans="1:4" x14ac:dyDescent="0.2">
      <c r="A32" s="8" t="s">
        <v>27</v>
      </c>
      <c r="B32" s="9" t="e">
        <f>IF($B$3="Male",((-0.5017715+0.0008324*$B$4+0.0122865*$B$5)^1.92308-3), ((0.4743252-0.000508*$B$4+0.0044229*$B$5) ^ 5.882  -3))</f>
        <v>#NUM!</v>
      </c>
      <c r="C32" s="9" t="e">
        <f>IF($B$3="Male",((-0.5017715+0.0008324*$B$4+0.0122865*$B$5-0.549815396)^1.92308-3), ((0.4743252-0.000508*$B$4+0.0044229*$B$5-0.17363) ^ 5.882  -3))</f>
        <v>#NUM!</v>
      </c>
      <c r="D32" s="9">
        <f>IF($B$3="Male",((-0.5017715+0.0008324*$B$4+0.0122865*$B$5+0.549815396)^1.92308-3), ((0.4743252-0.000508*$B$4+0.0044229*$B$5+0.17363) ^ 5.882  -3))</f>
        <v>-2.9970846894475303</v>
      </c>
    </row>
    <row r="33" spans="1:4" x14ac:dyDescent="0.2">
      <c r="B33" s="7" t="s">
        <v>6</v>
      </c>
      <c r="C33" s="7" t="s">
        <v>7</v>
      </c>
      <c r="D33" s="7" t="s">
        <v>8</v>
      </c>
    </row>
    <row r="34" spans="1:4" x14ac:dyDescent="0.2">
      <c r="A34" s="8" t="s">
        <v>28</v>
      </c>
      <c r="B34" s="9">
        <f>IF($B$3="Male",((0.8552181-0.0016531*$B$4-0.0005265*$B$5)^-1.041666667-1),((2.640523-0.004095*$B$4-0.009808*$B$5)^2.564))</f>
        <v>0.17693708092731675</v>
      </c>
      <c r="C34" s="9">
        <f>IF($B$3="Male",((0.8552181-0.0016531*$B$4-0.0005265*$B$5+0.326143659)^-1.041666667-1),((2.640523-0.004095*$B$4-0.009808*$B$5-0.6111)^2.564))</f>
        <v>-0.15937725449475548</v>
      </c>
      <c r="D34" s="9">
        <f>IF($B$3="Male",((0.8552181-0.0016531*$B$4-0.0005265*$B$5-0.326143659)^-1.041666667-1),((2.640523-0.004095*$B$4-0.009808*$B$5+0.6111)^2.564))</f>
        <v>0.94090085985389704</v>
      </c>
    </row>
    <row r="35" spans="1:4" x14ac:dyDescent="0.2">
      <c r="A35" s="8" t="s">
        <v>29</v>
      </c>
      <c r="B35" s="9">
        <f>IF($B$3="Male",((1.129275-0.002242*$B$4-0.002378*$B$5)^-0.64516129-1), ((0.150539+ 0.002717*$B$4 + 0.002603*$B$5) ^ -1.19 -1))</f>
        <v>-7.5438790225044849E-2</v>
      </c>
      <c r="C35" s="9">
        <f>IF($B$3="Male",((1.129275-0.002242*$B$4-0.002378*$B$5+0.430406241)^-0.64516129-1), ((0.150539+ 0.002717*$B$4 + 0.002603*$B$5+0.37623) ^ -1.19 -1))</f>
        <v>-0.24930980608459785</v>
      </c>
      <c r="D35" s="9">
        <f>IF($B$3="Male",((1.129275-0.002242*$B$4-0.002378*$B$5-0.430406241)^-0.64516129-1), ((0.150539+ 0.002717*$B$4 + 0.002603*$B$5-0.37623) ^ -1.19 -1))</f>
        <v>0.26005620706454247</v>
      </c>
    </row>
    <row r="36" spans="1:4" x14ac:dyDescent="0.2">
      <c r="A36" s="8" t="s">
        <v>30</v>
      </c>
      <c r="B36" s="9">
        <f>IF($B$3="Male",((0.7154127-0.0008866*$B$4+0.0007694*$B$5)^-2.083333333-1), ((3.592104 - 0.00356*$B$4 -  0.015566*$B$5) ^ 2.381))</f>
        <v>1.0091251426452179</v>
      </c>
      <c r="C36" s="9">
        <f>IF($B$3="Male",((0.7154127-0.0008866*$B$4+0.0007694*$B$5+0.219428685)^-2.083333333-1), ((3.592104 - 0.00356*$B$4 -  0.015566*$B$5-0.66336) ^ 2.381))</f>
        <v>0.15070141061040765</v>
      </c>
      <c r="D36" s="9">
        <f>IF($B$3="Male",((0.7154127-0.0008866*$B$4+0.0007694*$B$5-0.219428685)^-2.083333333-1), ((3.592104 - 0.00356*$B$4 -  0.015566*$B$5+0.66336) ^ 2.381))</f>
        <v>3.3096532969957657</v>
      </c>
    </row>
    <row r="37" spans="1:4" x14ac:dyDescent="0.2">
      <c r="A37" s="8" t="s">
        <v>31</v>
      </c>
      <c r="B37" s="9" t="e">
        <f>IF($B$3="Male",((-2.529415+0.00154*$B$4+0.026313*$B$5)^0.8477457627-2), ((- 0.16328 - 0.000434*$B$4 + 0.00841*$B$5) ^ 3.333 -2))</f>
        <v>#NUM!</v>
      </c>
      <c r="C37" s="9" t="e">
        <f>IF($B$3="Male",((-2.529415+0.00154*$B$4+0.026313*$B$5-0.872342571)^0.8477457627-2), ((- 0.16328 - 0.000434*$B$4 + 0.00841*$B$5-0.27591) ^ 3.333 -2))</f>
        <v>#NUM!</v>
      </c>
      <c r="D37" s="9" t="e">
        <f>IF($B$3="Male",((-2.529415+0.00154*$B$4+0.026313*$B$5+0.872342571)^0.8477457627-2), ((- 0.16328 - 0.000434*$B$4 + 0.00841*$B$5+0.27591) ^ 3.333 -2))</f>
        <v>#NUM!</v>
      </c>
    </row>
  </sheetData>
  <phoneticPr fontId="1"/>
  <dataValidations count="3">
    <dataValidation type="list" imeMode="off" allowBlank="1" showInputMessage="1" showErrorMessage="1" promptTitle="Please input Sex" sqref="B3">
      <formula1>Gender</formula1>
    </dataValidation>
    <dataValidation type="decimal" imeMode="off" allowBlank="1" showInputMessage="1" showErrorMessage="1" errorTitle="Invalid input" promptTitle="Input Age" sqref="B4">
      <formula1>0</formula1>
      <formula2>200</formula2>
    </dataValidation>
    <dataValidation type="decimal" allowBlank="1" showInputMessage="1" showErrorMessage="1" errorTitle="Invalid Input" promptTitle="Input height (cm) " sqref="B5">
      <formula1>0</formula1>
      <formula2>300</formula2>
    </dataValidation>
  </dataValidation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2" defaultRowHeight="20" x14ac:dyDescent="0.3"/>
  <sheetData>
    <row r="1" spans="1:1" x14ac:dyDescent="0.3">
      <c r="A1" t="s">
        <v>3</v>
      </c>
    </row>
    <row r="2" spans="1:1" x14ac:dyDescent="0.3">
      <c r="A2" t="s">
        <v>4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2017-11-18T22:36:22Z</dcterms:created>
  <dcterms:modified xsi:type="dcterms:W3CDTF">2018-01-02T08:23:12Z</dcterms:modified>
</cp:coreProperties>
</file>