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USB-C-HD/Data1/2018TMDU保健衛生学科/Web/"/>
    </mc:Choice>
  </mc:AlternateContent>
  <bookViews>
    <workbookView xWindow="5960" yWindow="900" windowWidth="22860" windowHeight="23280" tabRatio="500"/>
  </bookViews>
  <sheets>
    <sheet name="Sheet1" sheetId="1" r:id="rId1"/>
    <sheet name="Sheet2" sheetId="2" r:id="rId2"/>
  </sheets>
  <definedNames>
    <definedName name="Gender">Sheet2!$A$1:$A$2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" l="1"/>
  <c r="C30" i="1"/>
  <c r="D30" i="1"/>
  <c r="B30" i="1"/>
  <c r="D12" i="1"/>
  <c r="C12" i="1"/>
  <c r="B12" i="1"/>
  <c r="C14" i="1"/>
  <c r="B14" i="1"/>
  <c r="D15" i="1"/>
  <c r="D16" i="1"/>
  <c r="C15" i="1"/>
  <c r="C10" i="1"/>
  <c r="D34" i="1"/>
  <c r="D20" i="1"/>
  <c r="B17" i="1"/>
  <c r="C34" i="1"/>
  <c r="D11" i="1"/>
  <c r="C11" i="1"/>
  <c r="D37" i="1"/>
  <c r="C37" i="1"/>
  <c r="B37" i="1"/>
  <c r="D36" i="1"/>
  <c r="C36" i="1"/>
  <c r="B36" i="1"/>
  <c r="D35" i="1"/>
  <c r="C35" i="1"/>
  <c r="B35" i="1"/>
  <c r="B34" i="1"/>
  <c r="C32" i="1"/>
  <c r="B32" i="1"/>
  <c r="D31" i="1"/>
  <c r="C31" i="1"/>
  <c r="B31" i="1"/>
  <c r="D29" i="1"/>
  <c r="C29" i="1"/>
  <c r="B29" i="1"/>
  <c r="D27" i="1"/>
  <c r="C27" i="1"/>
  <c r="B27" i="1"/>
  <c r="D26" i="1"/>
  <c r="C26" i="1"/>
  <c r="B26" i="1"/>
  <c r="D25" i="1"/>
  <c r="C25" i="1"/>
  <c r="B25" i="1"/>
  <c r="D24" i="1"/>
  <c r="C24" i="1"/>
  <c r="B24" i="1"/>
  <c r="C22" i="1"/>
  <c r="D22" i="1"/>
  <c r="B22" i="1"/>
  <c r="D21" i="1"/>
  <c r="D19" i="1"/>
  <c r="C21" i="1"/>
  <c r="B21" i="1"/>
  <c r="C20" i="1"/>
  <c r="C19" i="1"/>
  <c r="B19" i="1"/>
  <c r="B20" i="1"/>
  <c r="D17" i="1"/>
  <c r="C17" i="1"/>
  <c r="C16" i="1"/>
  <c r="B16" i="1"/>
  <c r="B15" i="1"/>
  <c r="D14" i="1"/>
  <c r="B11" i="1"/>
  <c r="D10" i="1"/>
  <c r="B10" i="1"/>
  <c r="D9" i="1"/>
  <c r="C9" i="1"/>
  <c r="B9" i="1"/>
</calcChain>
</file>

<file path=xl/sharedStrings.xml><?xml version="1.0" encoding="utf-8"?>
<sst xmlns="http://schemas.openxmlformats.org/spreadsheetml/2006/main" count="51" uniqueCount="36">
  <si>
    <t>Predictive values of MostGraph Calculater</t>
    <phoneticPr fontId="1"/>
  </si>
  <si>
    <t>Weight (kg)</t>
    <phoneticPr fontId="1"/>
  </si>
  <si>
    <t>Height (cm)</t>
    <phoneticPr fontId="1"/>
  </si>
  <si>
    <t>Age (year)</t>
    <phoneticPr fontId="1"/>
  </si>
  <si>
    <t>Male</t>
    <phoneticPr fontId="1"/>
  </si>
  <si>
    <t>Female</t>
    <phoneticPr fontId="1"/>
  </si>
  <si>
    <t>R5</t>
    <phoneticPr fontId="1"/>
  </si>
  <si>
    <t>expected</t>
    <phoneticPr fontId="1"/>
  </si>
  <si>
    <t>lower limit</t>
    <phoneticPr fontId="1"/>
  </si>
  <si>
    <t>upper limit</t>
    <phoneticPr fontId="1"/>
  </si>
  <si>
    <t>R5 Inhale</t>
    <phoneticPr fontId="1"/>
  </si>
  <si>
    <t>R5 Exhale</t>
    <phoneticPr fontId="1"/>
  </si>
  <si>
    <t>R5 Exhale-Inhale</t>
    <phoneticPr fontId="1"/>
  </si>
  <si>
    <t>R20</t>
    <phoneticPr fontId="1"/>
  </si>
  <si>
    <t>R20 Exhale</t>
    <phoneticPr fontId="1"/>
  </si>
  <si>
    <t>R20 Inhale</t>
    <phoneticPr fontId="1"/>
  </si>
  <si>
    <t>R20 Exhale-Inhale</t>
    <phoneticPr fontId="1"/>
  </si>
  <si>
    <t>R5-R20</t>
    <phoneticPr fontId="1"/>
  </si>
  <si>
    <t>R5-R20 Exhale</t>
    <phoneticPr fontId="1"/>
  </si>
  <si>
    <t>R5-R20 Inhale</t>
    <phoneticPr fontId="1"/>
  </si>
  <si>
    <t>R5-R20 Exhale-Inhale</t>
    <phoneticPr fontId="1"/>
  </si>
  <si>
    <t>X5</t>
    <phoneticPr fontId="1"/>
  </si>
  <si>
    <t>X5 Exhale-Inhale</t>
    <phoneticPr fontId="1"/>
  </si>
  <si>
    <t>X5 Inhale</t>
    <phoneticPr fontId="1"/>
  </si>
  <si>
    <t>X5 Exhale</t>
    <phoneticPr fontId="1"/>
  </si>
  <si>
    <t>Fres</t>
    <phoneticPr fontId="1"/>
  </si>
  <si>
    <t>Fres Exhale</t>
    <phoneticPr fontId="1"/>
  </si>
  <si>
    <t>Fres Inhale</t>
    <phoneticPr fontId="1"/>
  </si>
  <si>
    <t>Fres Exhale-Inhale</t>
    <phoneticPr fontId="1"/>
  </si>
  <si>
    <t>ALX</t>
    <phoneticPr fontId="1"/>
  </si>
  <si>
    <t>ALX Exhale</t>
    <phoneticPr fontId="1"/>
  </si>
  <si>
    <t>ALX Inhale</t>
    <phoneticPr fontId="1"/>
  </si>
  <si>
    <t>ALX Exhale-Inhale</t>
    <phoneticPr fontId="1"/>
  </si>
  <si>
    <t>Input Gender, Age, Height, Weight</t>
    <phoneticPr fontId="1"/>
  </si>
  <si>
    <t>Gender (Male / Female)</t>
    <phoneticPr fontId="1"/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</si>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</sst>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176" fontId="4" fillId="0" borderId="0" xfId="0" applyNumberFormat="1" applyFont="1"/>
    <xf numFmtId="176" fontId="5" fillId="4" borderId="0" xfId="0" applyNumberFormat="1" applyFont="1" applyFill="1"/>
    <xf numFmtId="0" fontId="6" fillId="4" borderId="0" xfId="0" applyFont="1" applyFill="1"/>
    <xf numFmtId="0" fontId="5" fillId="0" borderId="0" xfId="0" applyFont="1"/>
    <xf numFmtId="176" fontId="5" fillId="3" borderId="1" xfId="0" applyNumberFormat="1" applyFont="1" applyFill="1" applyBorder="1"/>
    <xf numFmtId="176" fontId="5" fillId="3" borderId="2" xfId="0" applyNumberFormat="1" applyFont="1" applyFill="1" applyBorder="1"/>
    <xf numFmtId="176" fontId="4" fillId="0" borderId="3" xfId="0" applyNumberFormat="1" applyFont="1" applyBorder="1"/>
    <xf numFmtId="0" fontId="4" fillId="0" borderId="3" xfId="0" applyFont="1" applyBorder="1"/>
    <xf numFmtId="176" fontId="4" fillId="2" borderId="3" xfId="0" applyNumberFormat="1" applyFont="1" applyFill="1" applyBorder="1"/>
    <xf numFmtId="176" fontId="5" fillId="3" borderId="1" xfId="0" applyNumberFormat="1" applyFont="1" applyFill="1" applyBorder="1" applyAlignment="1">
      <alignment horizontal="center"/>
    </xf>
  </cellXfs>
  <cellStyles count="1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6" sqref="B6"/>
    </sheetView>
  </sheetViews>
  <sheetFormatPr baseColWidth="12" defaultRowHeight="16" x14ac:dyDescent="0.2"/>
  <cols>
    <col min="1" max="1" width="20.140625" style="1" customWidth="1"/>
    <col min="2" max="2" width="16.140625" style="2" customWidth="1"/>
    <col min="3" max="4" width="9.7109375" style="2" customWidth="1"/>
    <col min="5" max="16384" width="12.7109375" style="1"/>
  </cols>
  <sheetData>
    <row r="1" spans="1:6" ht="22" customHeight="1" x14ac:dyDescent="0.2">
      <c r="A1" s="1" t="s">
        <v>0</v>
      </c>
      <c r="D1" s="3" t="s">
        <v>33</v>
      </c>
      <c r="E1" s="4"/>
      <c r="F1" s="4"/>
    </row>
    <row r="2" spans="1:6" ht="17" thickBot="1" x14ac:dyDescent="0.25"/>
    <row r="3" spans="1:6" ht="17" thickBot="1" x14ac:dyDescent="0.25">
      <c r="A3" s="5" t="s">
        <v>34</v>
      </c>
      <c r="B3" s="11" t="s">
        <v>35</v>
      </c>
    </row>
    <row r="4" spans="1:6" ht="17" thickBot="1" x14ac:dyDescent="0.25">
      <c r="A4" s="5" t="s">
        <v>3</v>
      </c>
      <c r="B4" s="6"/>
    </row>
    <row r="5" spans="1:6" ht="17" thickBot="1" x14ac:dyDescent="0.25">
      <c r="A5" s="5" t="s">
        <v>2</v>
      </c>
      <c r="B5" s="7"/>
    </row>
    <row r="6" spans="1:6" ht="17" thickBot="1" x14ac:dyDescent="0.25">
      <c r="A6" s="5" t="s">
        <v>1</v>
      </c>
      <c r="B6" s="6"/>
    </row>
    <row r="8" spans="1:6" x14ac:dyDescent="0.2">
      <c r="B8" s="8" t="s">
        <v>7</v>
      </c>
      <c r="C8" s="8" t="s">
        <v>8</v>
      </c>
      <c r="D8" s="8" t="s">
        <v>9</v>
      </c>
    </row>
    <row r="9" spans="1:6" x14ac:dyDescent="0.2">
      <c r="A9" s="9" t="s">
        <v>6</v>
      </c>
      <c r="B9" s="10" t="e">
        <f xml:space="preserve"> IF($B$3="Male", ((-0.2704779 + 0.002764*$B$4 + + 0.007292*$B$5 - 0.003582 *$B$6) ^ -3.125), ((1.02941 - 0.00686*$B$4 + 0.00478*$B$5 + 0.00277 *$B$6) ^ 1.639))</f>
        <v>#NUM!</v>
      </c>
      <c r="C9" s="10" t="e">
        <f>IF($B$3="Male",((-0.270479+0.002764*$B$4+0.007292*$B$5-0.003582*$B$6+0.178462053)^-3.125), ((1.02941 - 0.00686*$B$4 + 0.00478*$B$5 + 0.00277 *$B$6 - 0.61631) ^ 1.639))</f>
        <v>#NUM!</v>
      </c>
      <c r="D9" s="10" t="e">
        <f>IF($B$3="Male",((-0.270479+0.002764*$B$4+0.007292*$B$5-0.003582*$B$6-0.178462053)^-3.125), ((1.02941 - 0.00686*$B$4 + 0.00478*$B$5 + 0.00277 *$B$6 + 0.61631) ^ 1.639))</f>
        <v>#NUM!</v>
      </c>
    </row>
    <row r="10" spans="1:6" x14ac:dyDescent="0.2">
      <c r="A10" s="9" t="s">
        <v>11</v>
      </c>
      <c r="B10" s="10" t="e">
        <f>IF($B$3="Male",((-0.59546+0.003252*$B$4+0.009055*$B$5-0.004432*$B$6)^-2.5), ((0.76622 - 0.00428*$B$4 + 0.00523*$B$5 + 0.00021 *$B$6) ^ 2.564))</f>
        <v>#NUM!</v>
      </c>
      <c r="C10" s="10" t="e">
        <f>IF($B$3="Male",((-0.59546+0.003252*$B$4+0.009055*$B$5-0.004432*$B$6+0.220507102)^-2.5),((0.76622-0.00428*$B$4+0.00523*$B$5+0.00021*$B$6-0.3985)^2.564))</f>
        <v>#NUM!</v>
      </c>
      <c r="D10" s="10" t="e">
        <f>IF($B$3="Male",((-0.59546+0.003252*$B$4+0.009055*$B$5-0.004432*$B$6-0.220507102)^-2.5), ((0.76622 - 0.00428*$B$4 + 0.00523*$B$5 + 0.00021 *$B$6 +0.3985) ^ 2.564))</f>
        <v>#NUM!</v>
      </c>
    </row>
    <row r="11" spans="1:6" x14ac:dyDescent="0.2">
      <c r="A11" s="9" t="s">
        <v>10</v>
      </c>
      <c r="B11" s="10">
        <f>IF($B$3="Male",((0.0821345+0.0021201*$B$4+0.0053669*$B$5-0.0026503*$B$6)^-4.16667), ((1.37406 - 0.00237*$B$4 - 0.00097*$B$5  + 0.00223*$B$6) ^ 3.125))</f>
        <v>33328.329368897474</v>
      </c>
      <c r="C11" s="10">
        <f>IF($B$3="Male",((0.0821345+0.0021201*$B$4+0.0053669*$B$5 - 0.0026503*$B$6 + 0.147600279)^-4.16667), ((1.37406 - 0.00237*$B$4 - 0.00097*$B$5  + 0.00223*$B$6 - 0.22726) ^ 3.125) )</f>
        <v>458.73021879835414</v>
      </c>
      <c r="D11" s="10" t="e">
        <f>IF($B$3="Male",((0.0821345 + 0.0021201*$B$4 + 0.0053669*$B$5 - 0.0026503*$B$6 - 0.147600279)^-4.16667), ((1.37406 - 0.00237*$B$4 - 0.00097*$B$5  + 0.00223*$B$6 + 0.22726) ^ 3.125) )</f>
        <v>#NUM!</v>
      </c>
    </row>
    <row r="12" spans="1:6" x14ac:dyDescent="0.2">
      <c r="A12" s="9" t="s">
        <v>12</v>
      </c>
      <c r="B12" s="10">
        <f>IF($B$3="Male",((1.1773615-0.0020297*$B$4+0.0006355*$B$5+0.0010309*$B$6)^-1.31579-1), ((1.20349 + 0.00069*$B$4 - 0.0022*$B$5 + 0.00094 *$B$6) ^ -5.556  -1))</f>
        <v>-0.19332693767304276</v>
      </c>
      <c r="C12" s="10">
        <f>IF($B$3="Male",((1.1773615-0.0020297*$B$4+0.0006355*$B$5+0.0010309*$B$6+0.710419043)^-1.31579-1), ((1.20349 + 0.00069*$B$4 - 0.0022*$B$5 + 0.00094 *$B$6 + 0.12412) ^ -5.556  -1) )</f>
        <v>-0.56658317291914218</v>
      </c>
      <c r="D12" s="10">
        <f>IF($B$3="Male",((1.1773615-0.0020297*$B$4+0.0006355*$B$5+0.0010309*$B$6-0.710419043)^-1.31579-1), ((1.20349 + 0.00069*$B$4 - 0.0022*$B$5 + 0.00094 *$B$6 - 0.12412) ^ -5.556  -1) )</f>
        <v>1.7238297440021402</v>
      </c>
    </row>
    <row r="13" spans="1:6" x14ac:dyDescent="0.2">
      <c r="B13" s="8" t="s">
        <v>7</v>
      </c>
      <c r="C13" s="8" t="s">
        <v>8</v>
      </c>
      <c r="D13" s="8" t="s">
        <v>9</v>
      </c>
    </row>
    <row r="14" spans="1:6" x14ac:dyDescent="0.2">
      <c r="A14" s="9" t="s">
        <v>13</v>
      </c>
      <c r="B14" s="10" t="e">
        <f>IF($B$3="Male",((-0.149597+0.00381*$B$4+0.005147*$B$5-0.001995*$B$6)^-1.88679), ((0.67305 - 0.00619*$B$4 + 0.00699*$B$5 - 0.00053 *$B$6) ^ 2.041))</f>
        <v>#NUM!</v>
      </c>
      <c r="C14" s="10">
        <f>IF($B$3="Male",((-0.149597+0.00381*$B$4+0.005147*$B$5-0.001995*$B$6+0.235798777)^-1.88679), ((0.67305 - 0.00619*$B$4 + 0.00699*$B$5 - 0.00053 *$B$6 - 0.38796) ^ 2.041))</f>
        <v>101.96646276680448</v>
      </c>
      <c r="D14" s="10" t="e">
        <f>IF($B$3="Male",((-0.149597+0.00381*$B$4+0.005147*$B$5-0.001995*$B$6-0.235798777)^-1.88679), ((0.67305 - 0.00619*$B$4 + 0.00699*$B$5 - 0.00053 *$B$6 + 0.38796) ^ 2.041))</f>
        <v>#NUM!</v>
      </c>
    </row>
    <row r="15" spans="1:6" x14ac:dyDescent="0.2">
      <c r="A15" s="9" t="s">
        <v>14</v>
      </c>
      <c r="B15" s="10" t="e">
        <f>IF($B$3="Male",((-0.366037+0.003965*$B$4+0.006185*$B$5-0.002078*$B$6)^-1.75439), ((0.74386 - 0.00447*$B$4 + 0.00582*$B$5 - 0.00173 *$B$6) ^ 2.703))</f>
        <v>#NUM!</v>
      </c>
      <c r="C15" s="10" t="e">
        <f>IF($B$3="Male",((-0.366037+0.003965*$B$4+0.006185*$B$5-0.002078*$B$6+0.256345949)^-1.75439), ((0.74386 - 0.00447*$B$4 + 0.00582*$B$5 - 0.00173 *$B$6  - 0.3063) ^ 2.703))</f>
        <v>#NUM!</v>
      </c>
      <c r="D15" s="10" t="e">
        <f>IF($B$3="Male",((-0.366037+0.003965*$B$4+0.006185*$B$5-0.002078*$B$6 - 0.256345949)^-1.75439), ((0.74386 - 0.00447*$B$4 + 0.00582*$B$5 - 0.00173 *$B$6  + 0.3063) ^ 2.703))</f>
        <v>#NUM!</v>
      </c>
    </row>
    <row r="16" spans="1:6" x14ac:dyDescent="0.2">
      <c r="A16" s="9" t="s">
        <v>15</v>
      </c>
      <c r="B16" s="10">
        <f>IF($B$3="Male",((0.290178+0.002861*$B$4+0.003111*$B$5-0.001476*$B$6)^-2.7027), ((0.93245 - 0.00255*$B$4 + 0.00217*$B$5 + 0.00072 *$B$6) ^ 3.846))</f>
        <v>28.330660618101543</v>
      </c>
      <c r="C16" s="10">
        <f>IF($B$3="Male",((0.2900178+0.002861*$B$4+0.003111*$B$5-0.001476*$B$6+0.188088429)^-2.7027), ((0.93245 - 0.00255*$B$4 + 0.00217*$B$5 + 0.00072 *$B$6 - 0.15612) ^ 3.846))</f>
        <v>7.3476658709396299</v>
      </c>
      <c r="D16" s="10">
        <f>IF($B$3="Male",((0.2900178+0.002861*$B$4+0.003111*$B$5-0.001476*$B$6 - 0.188088429)^-2.7027), ((0.93245 - 0.00255*$B$4 + 0.00217*$B$5 + 0.00072 *$B$6 + 0.15612) ^ 3.846))</f>
        <v>478.92704505990838</v>
      </c>
    </row>
    <row r="17" spans="1:4" x14ac:dyDescent="0.2">
      <c r="A17" s="9" t="s">
        <v>16</v>
      </c>
      <c r="B17" s="10">
        <f>IF($B$3="Male",((0.2961015+0.0008537*$B$4+0.0011898*$B$5+0.0041042*$B$6)^-0.63291-1), ((1.06352  + 0.00102*$B$4 - 0.00264*$B$5 + 0.00354 *$B$6) ^ -1.961  -1))</f>
        <v>1.1603818755929054</v>
      </c>
      <c r="C17" s="10">
        <f>IF($B$3="Male",((0.2961015+0.0008537*$B$4+0.0011898*$B$5+0.0041042*$B$6+0.557771518)^-0.63291-1), ((1.06352  + 0.00102*$B$4 - 0.00264*$B$5 + 0.00354 *$B$6 + 0.25058) ^ -1.961  -1))</f>
        <v>0.10515164040858171</v>
      </c>
      <c r="D17" s="10" t="e">
        <f>IF($B$3="Male",((0.2961015+0.0008537*$B$4+0.0011898*$B$5+0.0041042*$B$6 - 0.557771518)^-0.63291-1), ((1.06352  + 0.00102*$B$4 - 0.00264*$B$5 + 0.00354 *$B$6 - 0.25058) ^ -1.961  -1))</f>
        <v>#NUM!</v>
      </c>
    </row>
    <row r="18" spans="1:4" x14ac:dyDescent="0.2">
      <c r="B18" s="8" t="s">
        <v>7</v>
      </c>
      <c r="C18" s="8" t="s">
        <v>8</v>
      </c>
      <c r="D18" s="8" t="s">
        <v>9</v>
      </c>
    </row>
    <row r="19" spans="1:4" x14ac:dyDescent="0.2">
      <c r="A19" s="9" t="s">
        <v>17</v>
      </c>
      <c r="B19" s="10">
        <f>IF($B$3="Male",((2.451487+0.001023*$B$4-0.012243*$B$5+0.008434*$B$6)^1.72414-1), ((2.91556 + 0.00349*$B$4 -  0.01013*$B$5 + 0.00662 *$B$6) ^ 1.163  -2))</f>
        <v>3.6927902267948216</v>
      </c>
      <c r="C19" s="10">
        <f>IF($B$3="Male",((2.451487+0.001023*$B$4-0.012243*$B$5+0.008434*$B$6-0.2411199134)^1.72414-1), ((2.91556 + 0.00349*$B$4 -  0.01013*$B$5 + 0.00662 *$B$6 - 0.58868) ^ 1.163  -2) )</f>
        <v>2.9255892838045519</v>
      </c>
      <c r="D19" s="10">
        <f>IF($B$3="Male",((2.451487+0.001023*$B$4-0.012243*$B$5+0.008434*$B$6 + 0.241199134)^1.72414-1), ((2.91556 + 0.00349*$B$4 -  0.01013*$B$5 + 0.00662 *$B$6 + 0.58868) ^ 1.163  -2) )</f>
        <v>4.5169675731245782</v>
      </c>
    </row>
    <row r="20" spans="1:4" x14ac:dyDescent="0.2">
      <c r="A20" s="9" t="s">
        <v>18</v>
      </c>
      <c r="B20" s="10">
        <f>IF($B$3="Male",((1.944822+0.001027*$B$4-0.008788*$B$5+0.007437*$B$6)^2.22222-1), ((1.52988 + 0.00176*$B$4 -  0.00656*$B$5 + 0.00935 *$B$6) ^ 1.299  -1))</f>
        <v>3.3848485679228641</v>
      </c>
      <c r="C20" s="10">
        <f>IF($B$3="Male",((1.944822+0.001027*$B$4-0.008788*$B$5+0.007437*$B$6-0.22256177)^2.22222-1), ((1.52988 + 0.00176*$B$4 -  0.00656*$B$5 + 0.00935 *$B$6 - 0.6649) ^ 1.299  -1))</f>
        <v>2.3470593669131175</v>
      </c>
      <c r="D20" s="10">
        <f>IF($B$3="Male",((1.944822+0.001027*$B$4-0.008788*$B$5+0.007437*$B$6 + 0.22256177)^2.22222-1), ((1.52988 + 0.00176*$B$4 -  0.00656*$B$5 + 0.00935 *$B$6 + 0.6649) ^ 1.299  -1))</f>
        <v>4.5785751906310201</v>
      </c>
    </row>
    <row r="21" spans="1:4" x14ac:dyDescent="0.2">
      <c r="A21" s="9" t="s">
        <v>19</v>
      </c>
      <c r="B21" s="10">
        <f>IF($B$3="Male",((2.580498+0.0007767*$B$4-0.0124727*$B$5+0.0067649*$B$6)^1.85185-1), ((4.80225 + 0.00792*$B$4 -  0.02124*$B$5 + 0.00597 *$B$6 ) ^ 0.87  -2))</f>
        <v>4.7864629418200311</v>
      </c>
      <c r="C21" s="10">
        <f>IF($B$3="Male",((2.580498+0.0007767*$B$4-0.0124727*$B$5+0.0067649*$B$6-0.210198628)^1.85185-1), ((4.80225 + 0.00792*$B$4 -  0.02124*$B$5 + 0.00597 *$B$6  - 0.89441) ^ 0.87  -2))</f>
        <v>3.9440096368641226</v>
      </c>
      <c r="D21" s="10">
        <f>IF($B$3="Male",((2.580498+0.0007767*$B$4-0.0124727*$B$5+0.0067649*$B$6 + 0.210198628)^1.85185-1), ((4.80225 + 0.00792*$B$4 -  0.02124*$B$5 + 0.00597 *$B$6  + 0.89441) ^ 0.87  -2))</f>
        <v>5.6894887771029587</v>
      </c>
    </row>
    <row r="22" spans="1:4" x14ac:dyDescent="0.2">
      <c r="A22" s="9" t="s">
        <v>20</v>
      </c>
      <c r="B22" s="10">
        <f>IF($B$3="Male",((1.489191-0.001346*$B$4-0.001374*$B$5-0.004421*$B$6)^-0.86957-1), ((1.74294  + 0.00127*$B$4 - 0.00503*$B$5 - 0.00154 *$B$6) ^ -1.818  -1))</f>
        <v>-0.29269371335758243</v>
      </c>
      <c r="C22" s="10">
        <f>IF($B$3="Male",((1.489191-0.001346*$B$4-0.001374*$B$5-0.004421*$B$6+0.27599899)^-0.86957-1), ((1.74294  + 0.00127*$B$4 - 0.00503*$B$5 - 0.00154 *$B$6 + 0.1977) ^ -1.818  -1))</f>
        <v>-0.38990487660237239</v>
      </c>
      <c r="D22" s="10">
        <f>IF($B$3="Male",((1.489191-0.001346*$B$4-0.001374*$B$5-0.004421*$B$6 - 0.27599899)^-0.86957-1), ((1.74294  + 0.00127*$B$4 - 0.00503*$B$5 - 0.00154 *$B$6 - 0.1977) ^ -1.818  -1))</f>
        <v>-0.15468731012862769</v>
      </c>
    </row>
    <row r="23" spans="1:4" x14ac:dyDescent="0.2">
      <c r="B23" s="8" t="s">
        <v>7</v>
      </c>
      <c r="C23" s="8" t="s">
        <v>8</v>
      </c>
      <c r="D23" s="8" t="s">
        <v>9</v>
      </c>
    </row>
    <row r="24" spans="1:4" x14ac:dyDescent="0.2">
      <c r="A24" s="9" t="s">
        <v>21</v>
      </c>
      <c r="B24" s="10" t="e">
        <f>IF($B$3="Male",((-1.877737+0.001178*$B$4+0.020652*$B$5-0.013582*$B$6)^0.60606-1), ((-7.41681 + 0.01987*$B$4 +  0.08294*$B$5 - 0.04529 *$B$6) ^ 0.391  -2))</f>
        <v>#NUM!</v>
      </c>
      <c r="C24" s="10" t="e">
        <f>IF($B$3="Male",((-1.877737+0.001178*$B$4+0.020652*$B$5-0.013582*$B$6-0.397458964)^0.60606-1), ((-7.41681 + 0.01987*$B$4 +  0.08294*$B$5 - 0.04529 *$B$6 - 2.45065) ^ 0.391  -2))</f>
        <v>#NUM!</v>
      </c>
      <c r="D24" s="10" t="e">
        <f>IF($B$3="Male",((-1.877737+0.001178*$B$4+0.020652*$B$5-0.013582*$B$6 + 0.397458964)^0.60606-1), ((-7.41681 + 0.01987*$B$4 +  0.08294*$B$5 - 0.04529 *$B$6 + 2.45065) ^ 0.391  -2))</f>
        <v>#NUM!</v>
      </c>
    </row>
    <row r="25" spans="1:4" x14ac:dyDescent="0.2">
      <c r="A25" s="9" t="s">
        <v>24</v>
      </c>
      <c r="B25" s="10" t="e">
        <f>IF($B$3="Male",((-2.34827+0.00162*$B$4+0.025314*$B$5-0.018059*$B$6)^0.54945-1), ((- 5.09158 + 0.02918*$B$4 +  0.07974*$B$5 - 0.05822 *$B$6) ^ 0.341  -2))</f>
        <v>#NUM!</v>
      </c>
      <c r="C25" s="10" t="e">
        <f>IF($B$3="Male",((-2.34827+0.00162*$B$4+0.025314*$B$5-0.018059*$B$6-0.414286459)^0.54945-1), ((- 5.09158 + 0.02918*$B$4 +  0.07974*$B$5 - 0.05822 *$B$6 - 3.91785) ^ 0.341  -2) )</f>
        <v>#NUM!</v>
      </c>
      <c r="D25" s="10" t="e">
        <f>IF($B$3="Male",((-2.34827+0.00162*$B$4+0.025314*$B$5-0.018059*$B$6 + 0.414286459)^0.54945-1), ((- 5.09158 + 0.02918*$B$4 +  0.07974*$B$5 - 0.05822 *$B$6 + 3.91785) ^ 0.341  -2) )</f>
        <v>#NUM!</v>
      </c>
    </row>
    <row r="26" spans="1:4" x14ac:dyDescent="0.2">
      <c r="A26" s="9" t="s">
        <v>23</v>
      </c>
      <c r="B26" s="10" t="e">
        <f>IF($B$3="Male",((-1.352705+0.0007931*$B$4+0.0158505*$B$5-0.0090834*$B$6)^0.76336-1), (( - 7.9584  + 0.0132*$B$4 +  0.07952*$B$5 - 0.03705 *$B$6) ^0.446  - 2))</f>
        <v>#NUM!</v>
      </c>
      <c r="C26" s="10" t="e">
        <f>IF($B$3="Male",((-1.352705+0.0007931*$B$4+0.0158505*$B$5-0.0090834*$B$6-0.39345545)^0.76336-1), (( - 7.9584  + 0.0132*$B$4 +  0.07952*$B$5 - 0.03705 *$B$6 - 1.84076) ^0.446  - 2))</f>
        <v>#NUM!</v>
      </c>
      <c r="D26" s="10" t="e">
        <f>IF($B$3="Male",((-1.352705+0.0007931*$B$4+0.0158505*$B$5-0.0090834*$B$6 + 0.39345545)^0.76336-1), (( - 7.9584  + 0.0132*$B$4 +  0.07952*$B$5 - 0.03705 *$B$6 + 1.84076) ^0.446  - 2))</f>
        <v>#NUM!</v>
      </c>
    </row>
    <row r="27" spans="1:4" x14ac:dyDescent="0.2">
      <c r="A27" s="9" t="s">
        <v>22</v>
      </c>
      <c r="B27" s="10">
        <f>IF($B$3="Male",( (0.9171141 + 0.0005272*$B$4 +  0.0027296*$B$5 - 0.0048098 *$B$6) ^ 0.86207  -1), ((5.28178 - 0.00001*$B$4 - 0.02618*$B$5 + 0.00342 *$B$6) ^ 0.437  -1) )</f>
        <v>-7.1875333407750097E-2</v>
      </c>
      <c r="C27" s="10">
        <f>IF($B$3="Male",((0.9171141+0.0005272*$B$4+0.0027296*$B$5-0.0048098*$B$6-0.251282839)^0.86207-1),  ((5.28178 - 0.00001*$B$4 - 0.02618*$B$5 + 0.00342 *$B$6 - 0.86516) ^ 0.437  -1))</f>
        <v>-0.29574885783075511</v>
      </c>
      <c r="D27" s="10">
        <f>IF($B$3="Male",((0.9171141+0.0005272*$B$4+0.0027296*$B$5-0.0048098*$B$6 + 0.251282839)^0.86207-1),  ((5.28178 - 0.00001*$B$4 - 0.02618*$B$5 + 0.00342 *$B$6 + 0.86516) ^ 0.437  -1))</f>
        <v>0.14358293284837997</v>
      </c>
    </row>
    <row r="28" spans="1:4" x14ac:dyDescent="0.2">
      <c r="B28" s="8" t="s">
        <v>7</v>
      </c>
      <c r="C28" s="8" t="s">
        <v>8</v>
      </c>
      <c r="D28" s="8" t="s">
        <v>9</v>
      </c>
    </row>
    <row r="29" spans="1:4" x14ac:dyDescent="0.2">
      <c r="A29" s="9" t="s">
        <v>25</v>
      </c>
      <c r="B29" s="10">
        <f>IF($B$3="Male",((0.2974774+0.0001785*$B$4+0.0026717*$B$5-0.0017632*$B$6)^-4), ((0.51848 + 0.0003*$B$4 + 0.00156*$B$5 - 0.00094 *$B$6) ^ -5.882))</f>
        <v>127.69799896126302</v>
      </c>
      <c r="C29" s="10">
        <f>IF($B$3="Male",((0.2974774 + 0.0001785*$B$4 + 0.0026717*$B$5 - 0.0017632 *$B$6 + 0.046457898) ^ -4), ((0.51848 + 0.0003*$B$4 + 0.00156*$B$5 - 0.00094 *$B$6 + 0.04893) ^ -5.882) )</f>
        <v>71.464934729155431</v>
      </c>
      <c r="D29" s="10">
        <f>IF($B$3="Male",((0.2974774 + 0.0001785*$B$4 + 0.0026717*$B$5 - 0.0017632 *$B$6 - 0.046457898) ^ -4), ((0.51848 + 0.0003*$B$4 + 0.00156*$B$5 - 0.00094 *$B$6 - 0.04893) ^ -5.882) )</f>
        <v>251.86634822444501</v>
      </c>
    </row>
    <row r="30" spans="1:4" x14ac:dyDescent="0.2">
      <c r="A30" s="9" t="s">
        <v>26</v>
      </c>
      <c r="B30" s="10" t="e">
        <f>IF($B$3="Male",((-0.200867+0.0003389*$B$4+0.0039871*$B$5-0.0027585*$B$6)^-1.47059), ((0.17707 + 0.00057*$B$4 + 0.00159*$B$5 - 0.00118 *$B$6) ^ -1.923))</f>
        <v>#NUM!</v>
      </c>
      <c r="C30" s="10" t="e">
        <f>IF($B$3="Male",((-0.200867 + 0.0003389*$B$4 + 0.0039871*$B$5 - 0.0027585 *$B$6 + 0.059671035) ^ -1.47059), ((0.17707 + 0.00057*$B$4 + 0.00159*$B$5 - 0.00118 *$B$6 + 0.09419) ^ -1.923) )</f>
        <v>#NUM!</v>
      </c>
      <c r="D30" s="10" t="e">
        <f>IF($B$3="Male",((-0.200867 + 0.0003389*$B$4 + 0.0039871*$B$5 - 0.0027585 *$B$6 - 0.059671035) ^ -1.47059), ((0.17707 + 0.00057*$B$4 + 0.00159*$B$5 - 0.00118 *$B$6 - 0.09419) ^ -1.923) )</f>
        <v>#NUM!</v>
      </c>
    </row>
    <row r="31" spans="1:4" x14ac:dyDescent="0.2">
      <c r="A31" s="9" t="s">
        <v>27</v>
      </c>
      <c r="B31" s="10">
        <f>IF($B$3="Male",((1.9334801-0.0001925*$B$4-0.0039485*$B$5+0.0023394*$B$6)^5.26316), ((1.60312-0.00027*$B$4-0.00255*$B$5+0.00134*$B$6)^8.333) )</f>
        <v>32.140430520872613</v>
      </c>
      <c r="C31" s="10">
        <f>IF($B$3="Male",((1.9334801-0.0001925*$B$4-0.0039485*$B$5+0.0023394*$B$6-0.091730914)^5.26316),(1.60312-0.00027*$B$4-0.00255*$B$5+0.00134*$B$6-0.05652)^8.333)</f>
        <v>24.885735893996657</v>
      </c>
      <c r="D31" s="10">
        <f>IF($B$3="Male",((1.9334801-0.0001925*$B$4-0.0039485*$B$5+0.0023394*$B$6 + 0.091730914)^5.26316), ((1.60312-0.00027*$B$4-0.00255*$B$5+0.00134*$B$6 + 0.05652)^8.333))</f>
        <v>41.020610736472129</v>
      </c>
    </row>
    <row r="32" spans="1:4" x14ac:dyDescent="0.2">
      <c r="A32" s="9" t="s">
        <v>28</v>
      </c>
      <c r="B32" s="10">
        <f>IF($B$3="Male",((1.1723679-0.001448491*$B$4-0.000003971*$B$5+0.007882449*$B$6)^1.92308-3), ((0.35883 - 0.00043*$B$4 + 0.00562*$B$5 - 0.00152 *$B$6) ^ 5.882  -3))</f>
        <v>-1.6422636639572479</v>
      </c>
      <c r="C32" s="10">
        <f>IF($B$3="Male",((1.1723679-0.001448491*$B$4-0.000003971*$B$5+0.007882449*$B$6-0.530070178)^1.92308-3),((0.35883 - 0.00043*$B$4 + 0.00562*$B$5 - 0.00152 *$B$6 - 0.17301) ^ 5.882  -3) )</f>
        <v>-2.5731633713641742</v>
      </c>
      <c r="D32" s="10">
        <f>IF($B$3="Male",((1.1723679-0.001448491*$B$4-0.000003971*$B$5+0.007882449*$B$6 + 0.530070178)^1.92308-3),((0.35883 - 0.00043*$B$4 + 0.00562*$B$5 - 0.00152 *$B$6 + 0.17301) ^ 5.882  -3) )</f>
        <v>-0.21792622338389478</v>
      </c>
    </row>
    <row r="33" spans="1:4" x14ac:dyDescent="0.2">
      <c r="B33" s="8" t="s">
        <v>7</v>
      </c>
      <c r="C33" s="8" t="s">
        <v>8</v>
      </c>
      <c r="D33" s="8" t="s">
        <v>9</v>
      </c>
    </row>
    <row r="34" spans="1:4" x14ac:dyDescent="0.2">
      <c r="A34" s="9" t="s">
        <v>29</v>
      </c>
      <c r="B34" s="10" t="e">
        <f>IF($B$3="Male",((-1.023129 + 0.000906*$B$4 + 0.013263*$B$5 - 0.008844*$B$6)^-1.041666667 - 1), ((3.44773 - 0.00462*$B$4 - 0.01821*$B$5 + 0.01064 *$B$6) ^ 2.564))</f>
        <v>#NUM!</v>
      </c>
      <c r="C34" s="10" t="e">
        <f>IF($B$3="Male",( (-1.023129 + 0.000906*$B$4 + 0.013263*$B$5 - 0.008844 *$B$6 +0.282007305) ^ -1.04166667 - 1), ((3.44773 - 0.00462*$B$4 - 0.01821*$B$5 + 0.01064 *$B$6 - 0.60242) ^ 2.564) )</f>
        <v>#NUM!</v>
      </c>
      <c r="D34" s="10" t="e">
        <f>IF($B$3="Male",( (-1.023129 + 0.000906*$B$4 + 0.013263*$B$5 - 0.008844 *$B$6  - 0.282007305) ^ -1.041666667 -1), ((3.44773 - 0.00462*$B$4 - 0.01821*$B$5 + 0.01064 *$B$6 + 0.60242) ^ 2.564) )</f>
        <v>#NUM!</v>
      </c>
    </row>
    <row r="35" spans="1:4" x14ac:dyDescent="0.2">
      <c r="A35" s="9" t="s">
        <v>30</v>
      </c>
      <c r="B35" s="10" t="e">
        <f>IF($B$3="Male",((-1.812835+0.001766*$B$4+0.019221*$B$5-0.013853*$B$6)^-0.64516129-1), ((-0.25899 + 0.00298*$B$4 + 0.00686*$B$5 - 0.0054 *$B$6) ^ -1.19 -1))</f>
        <v>#NUM!</v>
      </c>
      <c r="C35" s="10" t="e">
        <f>IF($B$3="Male",( (-1.812835 + 0.001766*$B$4 + 0.019221*$B$5 - 0.013853 *$B$6 + 0.345538308) ^ -0.64516129 -1), ((-0.25899 + 0.00298*$B$4 + 0.00686*$B$5 - 0.0054 *$B$6 + 0.37261) ^ -1.19 -1) )</f>
        <v>#NUM!</v>
      </c>
      <c r="D35" s="10" t="e">
        <f>IF($B$3="Male",( (-1.812835 + 0.001766*$B$4 + 0.019221*$B$5 - 0.013853 *$B$6 - 0.345538308) ^ -0.64516129 -1), ((-0.25899 + 0.00298*$B$4 + 0.00686*$B$5 - 0.0054 *$B$6 - 0.37261) ^ -1.19 -1) )</f>
        <v>#NUM!</v>
      </c>
    </row>
    <row r="36" spans="1:4" x14ac:dyDescent="0.2">
      <c r="A36" s="9" t="s">
        <v>31</v>
      </c>
      <c r="B36" s="10" t="e">
        <f>IF($B$3="Male",((-0.2508462+0.0004279*$B$4+0.0078631*$B$5-0.0045495*$B$6)^-2.083333333-1), ((4.56948 - 0.00419*$B$4 -  0.02573*$B$5 + 0.01288*$B$6) ^ 2.381))</f>
        <v>#NUM!</v>
      </c>
      <c r="C36" s="10" t="e">
        <f>IF($B$3="Male",( (-0.2508462 + 0.0004279*$B$4 +  0.0078631*$B$5  - 0.0045495 *$B$6 + 0.202627723) ^ -2.083333333 -1), ((4.56948 - 0.00419*$B$4 -  0.02573*$B$5 + 0.01288*$B$6 - 0.65162) ^ 2.381) )</f>
        <v>#NUM!</v>
      </c>
      <c r="D36" s="10" t="e">
        <f>IF($B$3="Male",( (-0.2508462 + 0.0004279*$B$4 +  0.0078631*$B$5  - 0.0045495 *$B$6 - 0.202627723) ^ -2.083333333 -1), ((4.56948 - 0.00419*$B$4 -  0.02573*$B$5 + 0.01288*$B$6 + 0.65162) ^ 2.381) )</f>
        <v>#NUM!</v>
      </c>
    </row>
    <row r="37" spans="1:4" x14ac:dyDescent="0.2">
      <c r="A37" s="9" t="s">
        <v>32</v>
      </c>
      <c r="B37" s="10" t="e">
        <f>IF($B$3="Male",((-0.351763-0.001426*$B$4+0.010326*$B$5+0.010253*$B$6)^0.8477457627-2), ((- 0.27685 - 0.00036*$B$4 + 0.00959*$B$5 - 0.0015 *$B$6) ^ 3.333 -2))</f>
        <v>#NUM!</v>
      </c>
      <c r="C37" s="10" t="e">
        <f>IF($B$3="Male",( (- 0.351763 - 0.001426*$B$4 + 0.010326*$B$5 + 0.010253 *$B$6 - 0.851413124) ^ 0.847457627 -2), ((- 0.27685 - 0.00036*$B$4 + 0.00959*$B$5 - 0.0015 *$B$6 - 0.27554) ^ 3.333 -2) )</f>
        <v>#NUM!</v>
      </c>
      <c r="D37" s="10">
        <f>IF($B$3="Male",( (- 0.351763 - 0.001426*$B$4 + 0.010326*$B$5 + 0.010253 *$B$6 + 0.851413124) ^ 0.847457627 -2), ((- 0.27685 - 0.00036*$B$4 + 0.00959*$B$5 - 0.0015 *$B$6 + 0.27554) ^ 3.333 -2) )</f>
        <v>-1.4445663297627429</v>
      </c>
    </row>
  </sheetData>
  <phoneticPr fontId="1"/>
  <dataValidations count="4">
    <dataValidation type="list" imeMode="off" allowBlank="1" showInputMessage="1" showErrorMessage="1" promptTitle="Please input Sex" sqref="B3">
      <formula1>Gender</formula1>
    </dataValidation>
    <dataValidation type="decimal" imeMode="off" allowBlank="1" showInputMessage="1" showErrorMessage="1" errorTitle="Invalid input" promptTitle="Input Age" sqref="B4">
      <formula1>0</formula1>
      <formula2>200</formula2>
    </dataValidation>
    <dataValidation type="decimal" allowBlank="1" showInputMessage="1" showErrorMessage="1" errorTitle="Invalid Input" promptTitle="Input height (cm) " sqref="B5">
      <formula1>0</formula1>
      <formula2>300</formula2>
    </dataValidation>
    <dataValidation type="decimal" imeMode="off" allowBlank="1" showInputMessage="1" showErrorMessage="1" errorTitle="Invalid Input" promptTitle="Input weight" sqref="B6">
      <formula1>0</formula1>
      <formula2>200</formula2>
    </dataValidation>
  </dataValidations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2" defaultRowHeight="20" x14ac:dyDescent="0.3"/>
  <sheetData>
    <row r="1" spans="1:1" x14ac:dyDescent="0.3">
      <c r="A1" t="s">
        <v>4</v>
      </c>
    </row>
    <row r="2" spans="1:1" x14ac:dyDescent="0.3">
      <c r="A2" t="s">
        <v>5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2017-11-18T22:36:22Z</dcterms:created>
  <dcterms:modified xsi:type="dcterms:W3CDTF">2018-01-02T08:22:33Z</dcterms:modified>
</cp:coreProperties>
</file>